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7"/>
  <workbookPr showInkAnnotation="0" codeName="ThisWorkbook"/>
  <bookViews>
    <workbookView xWindow="4785" yWindow="3060" windowWidth="21600" windowHeight="11835"/>
  </bookViews>
  <sheets>
    <sheet name="Battery Calculations" sheetId="6" r:id="rId1"/>
    <sheet name="Sheet1" sheetId="5" r:id="rId2"/>
  </sheets>
  <definedNames>
    <definedName name="_xlnm.Print_Area" localSheetId="0">'Battery Calculations'!$B$3:$R$29</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6"/>
  <c r="I13"/>
  <c r="C23"/>
  <c r="G17" l="1"/>
  <c r="Q23"/>
  <c r="W20"/>
  <c r="W23" s="1"/>
  <c r="S20"/>
  <c r="S23" s="1"/>
  <c r="Q20"/>
  <c r="Q17"/>
  <c r="E17"/>
  <c r="E13"/>
  <c r="W14"/>
  <c r="W17" s="1"/>
  <c r="S14"/>
  <c r="S17" s="1"/>
  <c r="Q14"/>
  <c r="C17"/>
  <c r="G13"/>
  <c r="U20" l="1"/>
  <c r="U23" s="1"/>
  <c r="U14"/>
  <c r="U17" s="1"/>
  <c r="C20"/>
  <c r="Y20" l="1"/>
  <c r="Y14"/>
  <c r="Y17"/>
  <c r="Y23"/>
  <c r="G23" l="1"/>
  <c r="K17"/>
  <c r="E20" s="1"/>
  <c r="G20" l="1"/>
  <c r="C26" s="1"/>
  <c r="E26" l="1"/>
  <c r="G26" s="1"/>
  <c r="C29" s="1"/>
  <c r="G29" s="1"/>
</calcChain>
</file>

<file path=xl/comments1.xml><?xml version="1.0" encoding="utf-8"?>
<comments xmlns="http://schemas.openxmlformats.org/spreadsheetml/2006/main">
  <authors>
    <author>Lee Dube</author>
    <author>Paul Martel</author>
  </authors>
  <commentList>
    <comment ref="C14" authorId="0">
      <text>
        <r>
          <rPr>
            <b/>
            <sz val="9"/>
            <color indexed="81"/>
            <rFont val="Tahoma"/>
            <family val="2"/>
          </rPr>
          <t>MODEL:</t>
        </r>
        <r>
          <rPr>
            <sz val="9"/>
            <color indexed="81"/>
            <rFont val="Tahoma"/>
            <family val="2"/>
          </rPr>
          <t xml:space="preserve">
Please select your AES Subscriber model.</t>
        </r>
      </text>
    </comment>
    <comment ref="E14" authorId="1">
      <text>
        <r>
          <rPr>
            <b/>
            <sz val="9"/>
            <color indexed="81"/>
            <rFont val="Tahoma"/>
            <family val="2"/>
          </rPr>
          <t>Intellipro:</t>
        </r>
        <r>
          <rPr>
            <sz val="9"/>
            <color indexed="81"/>
            <rFont val="Tahoma"/>
            <family val="2"/>
          </rPr>
          <t xml:space="preserve">
Select whether Intellipro is installed during normal operation.</t>
        </r>
      </text>
    </comment>
    <comment ref="G14" authorId="1">
      <text>
        <r>
          <rPr>
            <b/>
            <sz val="9"/>
            <color indexed="81"/>
            <rFont val="Tahoma"/>
            <family val="2"/>
          </rPr>
          <t>Ethernet:</t>
        </r>
        <r>
          <rPr>
            <sz val="9"/>
            <color indexed="81"/>
            <rFont val="Tahoma"/>
            <family val="2"/>
          </rPr>
          <t xml:space="preserve">
Select whether Ethernet cable is connected during normal operation.</t>
        </r>
      </text>
    </comment>
    <comment ref="I14" authorId="1">
      <text>
        <r>
          <rPr>
            <b/>
            <sz val="9"/>
            <color indexed="81"/>
            <rFont val="Tahoma"/>
            <family val="2"/>
          </rPr>
          <t>7762</t>
        </r>
        <r>
          <rPr>
            <sz val="9"/>
            <color indexed="81"/>
            <rFont val="Tahoma"/>
            <family val="2"/>
          </rPr>
          <t xml:space="preserve">
Select whether 7762 board is connected during normal operation.</t>
        </r>
      </text>
    </comment>
    <comment ref="K14" authorId="0">
      <text>
        <r>
          <rPr>
            <b/>
            <sz val="9"/>
            <color indexed="81"/>
            <rFont val="Tahoma"/>
            <family val="2"/>
          </rPr>
          <t>Standby Hours:</t>
        </r>
        <r>
          <rPr>
            <sz val="9"/>
            <color indexed="81"/>
            <rFont val="Tahoma"/>
            <family val="2"/>
          </rPr>
          <t xml:space="preserve">
Enter the number of total hours required for Standby time. AES products are UL listed for 24 hours.</t>
        </r>
      </text>
    </comment>
  </commentList>
</comments>
</file>

<file path=xl/sharedStrings.xml><?xml version="1.0" encoding="utf-8"?>
<sst xmlns="http://schemas.openxmlformats.org/spreadsheetml/2006/main" count="101" uniqueCount="46">
  <si>
    <t>=</t>
  </si>
  <si>
    <t>+</t>
  </si>
  <si>
    <t>7788F</t>
  </si>
  <si>
    <t>7058E</t>
  </si>
  <si>
    <t>transmit</t>
  </si>
  <si>
    <t>Subscriber Type</t>
  </si>
  <si>
    <t>Standby Current (Amps)</t>
  </si>
  <si>
    <t>Total Standby Current (Amps)</t>
  </si>
  <si>
    <t>None</t>
  </si>
  <si>
    <t>Required Alarm Capacity
(Amp-Hours)</t>
  </si>
  <si>
    <t>x</t>
  </si>
  <si>
    <t>Required Standby Capacity
(Amp-Hours)</t>
  </si>
  <si>
    <t>Total Required Backup Capacity
(Amp-Hours)</t>
  </si>
  <si>
    <t>Ethernet Current
(Amps)</t>
  </si>
  <si>
    <r>
      <t xml:space="preserve">Recommended Minimum Battery Capacity
    (Amp-Hours) </t>
    </r>
    <r>
      <rPr>
        <b/>
        <sz val="10"/>
        <color rgb="FFFF0000"/>
        <rFont val="Arial"/>
        <family val="2"/>
      </rPr>
      <t>***</t>
    </r>
  </si>
  <si>
    <t>Recommended
Safety Factor</t>
  </si>
  <si>
    <t>Required Alarm
Capacity
(Amp-Hours)</t>
  </si>
  <si>
    <t>enet</t>
  </si>
  <si>
    <t># Hours Backup
Time</t>
  </si>
  <si>
    <t>Yes</t>
  </si>
  <si>
    <t>AES Model</t>
  </si>
  <si>
    <t>Required Alarm
Time (Hours)</t>
  </si>
  <si>
    <t>Intellipro Current
(Amps)</t>
  </si>
  <si>
    <t>ipro</t>
  </si>
  <si>
    <t>Transmit/Alarm Current (Amps)</t>
  </si>
  <si>
    <t>BATTERY</t>
  </si>
  <si>
    <t>24VDC</t>
  </si>
  <si>
    <t>16VAC</t>
  </si>
  <si>
    <t xml:space="preserve">  *** The battery requirements presented here are only AES recommendations. For UL listed battery requirements  please read the product Installation and Operation Manual.</t>
  </si>
  <si>
    <t>Transmit Current (Amps)</t>
  </si>
  <si>
    <t>Max 24VDC Current (Amps)</t>
  </si>
  <si>
    <t>Max 16VAC Current (Amps)</t>
  </si>
  <si>
    <t>BACKUP BATTERY CALCULATIONS</t>
  </si>
  <si>
    <t>standby</t>
  </si>
  <si>
    <t>Standby 24VDC Current (Amps)</t>
  </si>
  <si>
    <t>Standby 16VAC Current (Amps)</t>
  </si>
  <si>
    <t>7762 Current
(Amps)</t>
  </si>
  <si>
    <t>PRIMARY POWER CALCULATIONS</t>
  </si>
  <si>
    <t>IPRO Type</t>
  </si>
  <si>
    <t>7094A Ipro
Installed</t>
  </si>
  <si>
    <t>7794A Ipro
Installed</t>
  </si>
  <si>
    <t>7094 Ipro
Installed</t>
  </si>
  <si>
    <t>7794 Ipro
Installed</t>
  </si>
  <si>
    <t>No</t>
  </si>
  <si>
    <r>
      <t xml:space="preserve"> Battery Capacity Calculator Instructions:  
 </t>
    </r>
    <r>
      <rPr>
        <sz val="10"/>
        <rFont val="Arial"/>
        <family val="2"/>
      </rPr>
      <t>1) Select the AES model from the AES Model field.
 2) Select if Intellipro is installed
 3) Select if Ethernet Cable is installed during normal operation.
     (Only applies to 2.0 subscribers)
 4) Select if 7762 is installed (Only applies to 7788F)
 5) Enter the # of hours of backup time required. AES products are
     UL listed for 24 hours operation on battery backup.
 6) The calculator will return the recommended minumum battery capacity and
     max primary input DC and AC current</t>
    </r>
  </si>
  <si>
    <t>Updated 7/27/2022</t>
  </si>
</sst>
</file>

<file path=xl/styles.xml><?xml version="1.0" encoding="utf-8"?>
<styleSheet xmlns="http://schemas.openxmlformats.org/spreadsheetml/2006/main">
  <numFmts count="2">
    <numFmt numFmtId="164" formatCode="0.000"/>
    <numFmt numFmtId="165" formatCode="0.0"/>
  </numFmts>
  <fonts count="12">
    <font>
      <sz val="10"/>
      <name val="Arial"/>
    </font>
    <font>
      <b/>
      <sz val="10"/>
      <name val="Arial"/>
      <family val="2"/>
    </font>
    <font>
      <b/>
      <sz val="10"/>
      <color theme="1"/>
      <name val="Arial"/>
      <family val="2"/>
    </font>
    <font>
      <b/>
      <sz val="10"/>
      <color rgb="FFFF0000"/>
      <name val="Arial"/>
      <family val="2"/>
    </font>
    <font>
      <sz val="10"/>
      <name val="Arial"/>
      <family val="2"/>
    </font>
    <font>
      <sz val="9"/>
      <color indexed="81"/>
      <name val="Tahoma"/>
      <family val="2"/>
    </font>
    <font>
      <b/>
      <sz val="9"/>
      <color indexed="81"/>
      <name val="Tahoma"/>
      <family val="2"/>
    </font>
    <font>
      <i/>
      <sz val="10"/>
      <name val="Arial"/>
      <family val="2"/>
    </font>
    <font>
      <b/>
      <sz val="11"/>
      <color theme="1"/>
      <name val="Calibri"/>
      <family val="2"/>
      <scheme val="minor"/>
    </font>
    <font>
      <b/>
      <sz val="11"/>
      <color rgb="FFFF0000"/>
      <name val="Arial"/>
      <family val="2"/>
    </font>
    <font>
      <b/>
      <sz val="11"/>
      <name val="Arial"/>
      <family val="2"/>
    </font>
    <font>
      <b/>
      <sz val="11"/>
      <color theme="1"/>
      <name val="Arial"/>
      <family val="2"/>
    </font>
  </fonts>
  <fills count="8">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7" tint="0.39994506668294322"/>
        <bgColor indexed="64"/>
      </patternFill>
    </fill>
    <fill>
      <patternFill patternType="solid">
        <fgColor theme="2" tint="-9.9948118533890809E-2"/>
        <bgColor indexed="64"/>
      </patternFill>
    </fill>
  </fills>
  <borders count="3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1">
    <xf numFmtId="0" fontId="0" fillId="0" borderId="0"/>
  </cellStyleXfs>
  <cellXfs count="138">
    <xf numFmtId="0" fontId="0" fillId="0" borderId="0" xfId="0"/>
    <xf numFmtId="0" fontId="1" fillId="2" borderId="0" xfId="0" applyFont="1" applyFill="1"/>
    <xf numFmtId="0" fontId="2" fillId="2" borderId="0" xfId="0" applyFont="1" applyFill="1" applyAlignment="1">
      <alignment horizontal="center"/>
    </xf>
    <xf numFmtId="0" fontId="1" fillId="2" borderId="0" xfId="0" applyFont="1" applyFill="1" applyAlignment="1">
      <alignment horizontal="left"/>
    </xf>
    <xf numFmtId="0" fontId="2" fillId="2" borderId="0" xfId="0" applyFont="1" applyFill="1" applyAlignment="1">
      <alignment horizontal="center" vertical="center"/>
    </xf>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Protection="1"/>
    <xf numFmtId="0" fontId="1" fillId="2" borderId="0" xfId="0" applyFont="1" applyFill="1" applyBorder="1" applyAlignment="1" applyProtection="1">
      <alignment horizontal="center"/>
    </xf>
    <xf numFmtId="0" fontId="1" fillId="2" borderId="0" xfId="0" applyFont="1" applyFill="1" applyProtection="1"/>
    <xf numFmtId="0" fontId="1" fillId="2" borderId="0" xfId="0" applyFont="1" applyFill="1" applyBorder="1" applyAlignment="1" applyProtection="1">
      <alignment horizontal="left"/>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3" xfId="0" applyFont="1" applyFill="1" applyBorder="1" applyAlignment="1" applyProtection="1">
      <alignment vertical="center"/>
    </xf>
    <xf numFmtId="0" fontId="1" fillId="2" borderId="0" xfId="0" applyFont="1" applyFill="1" applyAlignment="1" applyProtection="1">
      <alignment vertical="center"/>
    </xf>
    <xf numFmtId="0" fontId="1" fillId="2" borderId="0" xfId="0" applyFont="1" applyFill="1" applyBorder="1" applyAlignment="1" applyProtection="1">
      <alignment horizontal="left" vertical="center"/>
    </xf>
    <xf numFmtId="0" fontId="3" fillId="2" borderId="0" xfId="0" applyFont="1" applyFill="1" applyAlignment="1">
      <alignment horizontal="left" wrapText="1"/>
    </xf>
    <xf numFmtId="0" fontId="2" fillId="0" borderId="1"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164" fontId="2" fillId="0" borderId="6" xfId="0" applyNumberFormat="1" applyFont="1" applyFill="1" applyBorder="1" applyAlignment="1" applyProtection="1">
      <alignment horizontal="center" vertical="center"/>
    </xf>
    <xf numFmtId="9" fontId="2" fillId="0" borderId="6" xfId="0" applyNumberFormat="1" applyFont="1" applyFill="1" applyBorder="1" applyAlignment="1" applyProtection="1">
      <alignment horizontal="center" vertical="center"/>
    </xf>
    <xf numFmtId="165" fontId="2" fillId="4" borderId="7" xfId="0" applyNumberFormat="1" applyFont="1" applyFill="1" applyBorder="1" applyAlignment="1" applyProtection="1">
      <alignment horizontal="center" vertical="center"/>
    </xf>
    <xf numFmtId="0" fontId="1" fillId="0" borderId="0" xfId="0" applyFont="1"/>
    <xf numFmtId="0" fontId="0" fillId="0" borderId="0" xfId="0" applyAlignment="1">
      <alignment horizontal="center"/>
    </xf>
    <xf numFmtId="0" fontId="1" fillId="0" borderId="0" xfId="0" applyFont="1" applyAlignment="1">
      <alignment horizontal="center"/>
    </xf>
    <xf numFmtId="164" fontId="0" fillId="0" borderId="0" xfId="0" applyNumberFormat="1" applyAlignment="1">
      <alignment horizontal="center"/>
    </xf>
    <xf numFmtId="164" fontId="4" fillId="0" borderId="0" xfId="0" applyNumberFormat="1" applyFont="1" applyAlignment="1">
      <alignment horizontal="center"/>
    </xf>
    <xf numFmtId="0" fontId="4" fillId="0" borderId="0" xfId="0" applyFont="1" applyAlignment="1">
      <alignment horizontal="center"/>
    </xf>
    <xf numFmtId="0" fontId="0" fillId="0" borderId="0" xfId="0" applyAlignment="1">
      <alignment horizontal="right"/>
    </xf>
    <xf numFmtId="0" fontId="7" fillId="0" borderId="0" xfId="0" applyFont="1"/>
    <xf numFmtId="164" fontId="1" fillId="0" borderId="0" xfId="0" applyNumberFormat="1" applyFont="1" applyAlignment="1">
      <alignment horizontal="center"/>
    </xf>
    <xf numFmtId="0" fontId="3" fillId="2" borderId="0" xfId="0" applyFont="1" applyFill="1" applyAlignment="1">
      <alignment horizontal="left" vertical="center" wrapText="1"/>
    </xf>
    <xf numFmtId="0" fontId="2" fillId="2" borderId="0" xfId="0" applyFont="1" applyFill="1" applyBorder="1" applyAlignment="1">
      <alignment horizontal="center"/>
    </xf>
    <xf numFmtId="0" fontId="1" fillId="2" borderId="0" xfId="0" applyFont="1" applyFill="1" applyAlignment="1">
      <alignment horizontal="center" vertical="center"/>
    </xf>
    <xf numFmtId="0" fontId="2" fillId="0" borderId="20" xfId="0" applyFont="1" applyFill="1" applyBorder="1" applyAlignment="1" applyProtection="1">
      <alignment horizontal="center" vertical="center"/>
    </xf>
    <xf numFmtId="0" fontId="2" fillId="0" borderId="13"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164"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2" borderId="0" xfId="0" applyFont="1" applyFill="1" applyBorder="1" applyAlignment="1" applyProtection="1">
      <alignment vertical="center"/>
    </xf>
    <xf numFmtId="0" fontId="1" fillId="2" borderId="0" xfId="0" applyFont="1" applyFill="1" applyBorder="1" applyAlignment="1">
      <alignment vertical="center"/>
    </xf>
    <xf numFmtId="0" fontId="2" fillId="0" borderId="2" xfId="0" applyFont="1" applyFill="1" applyBorder="1" applyAlignment="1" applyProtection="1">
      <alignment vertical="center"/>
    </xf>
    <xf numFmtId="0" fontId="2" fillId="0" borderId="13" xfId="0" applyFont="1" applyFill="1" applyBorder="1" applyAlignment="1" applyProtection="1">
      <alignment horizontal="center" vertical="center"/>
    </xf>
    <xf numFmtId="0" fontId="2" fillId="0" borderId="21" xfId="0" applyFont="1" applyFill="1" applyBorder="1" applyAlignment="1" applyProtection="1">
      <alignment horizontal="center" vertical="center" wrapText="1"/>
    </xf>
    <xf numFmtId="0" fontId="2" fillId="2" borderId="2" xfId="0" applyFont="1" applyFill="1" applyBorder="1" applyAlignment="1">
      <alignment horizontal="center"/>
    </xf>
    <xf numFmtId="164" fontId="2" fillId="0" borderId="19" xfId="0" applyNumberFormat="1" applyFont="1" applyFill="1" applyBorder="1" applyAlignment="1" applyProtection="1">
      <alignment horizontal="center" vertical="center"/>
    </xf>
    <xf numFmtId="0" fontId="2" fillId="2" borderId="6" xfId="0" applyFont="1" applyFill="1" applyBorder="1" applyAlignment="1">
      <alignment horizontal="center"/>
    </xf>
    <xf numFmtId="164" fontId="2" fillId="0" borderId="18" xfId="0" applyNumberFormat="1" applyFont="1" applyFill="1" applyBorder="1" applyAlignment="1" applyProtection="1">
      <alignment horizontal="center" vertical="center"/>
    </xf>
    <xf numFmtId="2" fontId="2" fillId="5" borderId="7" xfId="0" applyNumberFormat="1" applyFont="1" applyFill="1" applyBorder="1" applyAlignment="1" applyProtection="1">
      <alignment horizontal="center" vertical="center"/>
    </xf>
    <xf numFmtId="2" fontId="2" fillId="0" borderId="18" xfId="0" applyNumberFormat="1" applyFont="1" applyFill="1" applyBorder="1" applyAlignment="1" applyProtection="1">
      <alignment horizontal="center" vertical="center"/>
    </xf>
    <xf numFmtId="2" fontId="2" fillId="0" borderId="6" xfId="0" applyNumberFormat="1" applyFont="1" applyFill="1" applyBorder="1" applyAlignment="1" applyProtection="1">
      <alignment horizontal="center" vertical="center"/>
    </xf>
    <xf numFmtId="0" fontId="1" fillId="2" borderId="0" xfId="0" applyFont="1" applyFill="1" applyAlignment="1">
      <alignment horizontal="center"/>
    </xf>
    <xf numFmtId="0" fontId="3" fillId="2" borderId="0" xfId="0" applyFont="1" applyFill="1" applyBorder="1" applyAlignment="1">
      <alignment horizontal="left" vertical="center" wrapText="1"/>
    </xf>
    <xf numFmtId="0" fontId="1" fillId="2" borderId="0" xfId="0" applyFont="1" applyFill="1" applyBorder="1" applyProtection="1"/>
    <xf numFmtId="0" fontId="1" fillId="2" borderId="0" xfId="0" applyFont="1" applyFill="1" applyBorder="1"/>
    <xf numFmtId="0" fontId="3" fillId="2" borderId="0" xfId="0" applyFont="1" applyFill="1" applyBorder="1" applyAlignment="1">
      <alignment horizontal="left" wrapText="1"/>
    </xf>
    <xf numFmtId="0" fontId="2" fillId="2" borderId="0" xfId="0" applyFont="1" applyFill="1" applyBorder="1" applyAlignment="1">
      <alignment horizontal="left"/>
    </xf>
    <xf numFmtId="0" fontId="1" fillId="2" borderId="0" xfId="0" applyFont="1" applyFill="1" applyBorder="1" applyAlignment="1">
      <alignment horizontal="left"/>
    </xf>
    <xf numFmtId="0" fontId="1" fillId="2" borderId="0" xfId="0" applyFont="1" applyFill="1" applyBorder="1" applyAlignment="1">
      <alignment horizontal="center"/>
    </xf>
    <xf numFmtId="0" fontId="1" fillId="2" borderId="0" xfId="0" applyFont="1" applyFill="1" applyBorder="1" applyAlignment="1" applyProtection="1">
      <alignment horizontal="left" vertical="center" wrapText="1"/>
    </xf>
    <xf numFmtId="0" fontId="3" fillId="2" borderId="0" xfId="0" applyFont="1" applyFill="1" applyBorder="1" applyProtection="1"/>
    <xf numFmtId="0" fontId="3" fillId="2" borderId="0" xfId="0" applyFont="1" applyFill="1" applyBorder="1" applyAlignment="1" applyProtection="1">
      <alignment vertical="center"/>
    </xf>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horizontal="center"/>
    </xf>
    <xf numFmtId="0" fontId="2" fillId="2" borderId="0" xfId="0" applyFont="1" applyFill="1" applyBorder="1" applyAlignment="1" applyProtection="1">
      <alignment vertical="center"/>
    </xf>
    <xf numFmtId="0" fontId="1" fillId="0" borderId="0" xfId="0" applyFont="1" applyFill="1" applyBorder="1" applyAlignment="1" applyProtection="1">
      <alignment vertical="center"/>
    </xf>
    <xf numFmtId="0" fontId="1" fillId="0" borderId="0" xfId="0" applyFont="1" applyFill="1" applyBorder="1" applyAlignment="1" applyProtection="1">
      <alignment horizontal="center" vertical="center" wrapText="1"/>
    </xf>
    <xf numFmtId="0" fontId="1" fillId="0" borderId="0" xfId="0" applyFont="1" applyFill="1" applyBorder="1" applyProtection="1"/>
    <xf numFmtId="0" fontId="1" fillId="0" borderId="0" xfId="0" applyFont="1" applyFill="1" applyBorder="1"/>
    <xf numFmtId="164" fontId="2" fillId="5" borderId="7" xfId="0" applyNumberFormat="1" applyFont="1" applyFill="1" applyBorder="1" applyAlignment="1" applyProtection="1">
      <alignment horizontal="center" vertical="center"/>
    </xf>
    <xf numFmtId="0" fontId="3" fillId="2" borderId="0" xfId="0" applyFont="1" applyFill="1" applyBorder="1" applyAlignment="1">
      <alignment horizontal="center" vertical="center" wrapText="1"/>
    </xf>
    <xf numFmtId="0" fontId="1" fillId="0" borderId="0" xfId="0" applyFont="1" applyAlignment="1">
      <alignment horizontal="center" wrapText="1"/>
    </xf>
    <xf numFmtId="164" fontId="0" fillId="0" borderId="0" xfId="0" applyNumberFormat="1" applyFont="1" applyAlignment="1">
      <alignment horizontal="center"/>
    </xf>
    <xf numFmtId="0" fontId="8" fillId="0" borderId="0" xfId="0" applyFont="1" applyAlignment="1">
      <alignment horizontal="center"/>
    </xf>
    <xf numFmtId="0" fontId="1" fillId="0" borderId="0" xfId="0" applyFont="1" applyBorder="1" applyAlignment="1">
      <alignment horizontal="center"/>
    </xf>
    <xf numFmtId="164" fontId="0" fillId="0" borderId="0" xfId="0" applyNumberFormat="1" applyBorder="1" applyAlignment="1">
      <alignment horizontal="center"/>
    </xf>
    <xf numFmtId="49" fontId="2" fillId="0" borderId="22" xfId="0" applyNumberFormat="1" applyFont="1" applyFill="1" applyBorder="1" applyAlignment="1" applyProtection="1">
      <alignment horizontal="center" vertical="center"/>
      <protection locked="0"/>
    </xf>
    <xf numFmtId="0" fontId="1" fillId="2" borderId="18" xfId="0" applyFont="1" applyFill="1" applyBorder="1" applyAlignment="1">
      <alignment horizontal="center"/>
    </xf>
    <xf numFmtId="0" fontId="1" fillId="2" borderId="2" xfId="0" applyFont="1" applyFill="1" applyBorder="1" applyAlignment="1" applyProtection="1">
      <alignment vertical="center"/>
    </xf>
    <xf numFmtId="0" fontId="1" fillId="7" borderId="29" xfId="0" applyFont="1" applyFill="1" applyBorder="1" applyProtection="1"/>
    <xf numFmtId="0" fontId="1" fillId="7" borderId="29" xfId="0" applyFont="1" applyFill="1" applyBorder="1" applyAlignment="1" applyProtection="1">
      <alignment vertical="center"/>
    </xf>
    <xf numFmtId="0" fontId="1" fillId="7" borderId="29" xfId="0" applyFont="1" applyFill="1" applyBorder="1" applyAlignment="1">
      <alignment vertical="center"/>
    </xf>
    <xf numFmtId="0" fontId="1" fillId="7" borderId="29" xfId="0" applyFont="1" applyFill="1" applyBorder="1"/>
    <xf numFmtId="0" fontId="2" fillId="7" borderId="29" xfId="0" applyFont="1" applyFill="1" applyBorder="1" applyAlignment="1">
      <alignment horizontal="center"/>
    </xf>
    <xf numFmtId="0" fontId="3" fillId="7" borderId="29" xfId="0" applyFont="1" applyFill="1" applyBorder="1" applyAlignment="1">
      <alignment horizontal="left" wrapText="1"/>
    </xf>
    <xf numFmtId="0" fontId="3" fillId="7" borderId="29" xfId="0" applyFont="1" applyFill="1" applyBorder="1" applyAlignment="1">
      <alignment horizontal="left" vertical="center" wrapText="1"/>
    </xf>
    <xf numFmtId="0" fontId="3" fillId="7" borderId="29"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9" fillId="2" borderId="0" xfId="0" applyFont="1" applyFill="1" applyBorder="1" applyProtection="1"/>
    <xf numFmtId="0" fontId="10" fillId="2" borderId="0" xfId="0" applyFont="1" applyFill="1" applyBorder="1" applyAlignment="1">
      <alignment horizontal="left"/>
    </xf>
    <xf numFmtId="0" fontId="10" fillId="2" borderId="0" xfId="0" applyFont="1" applyFill="1" applyBorder="1" applyAlignment="1" applyProtection="1">
      <alignment horizontal="center"/>
    </xf>
    <xf numFmtId="0" fontId="10" fillId="2" borderId="0" xfId="0" applyFont="1" applyFill="1" applyBorder="1" applyProtection="1"/>
    <xf numFmtId="0" fontId="10" fillId="2" borderId="0" xfId="0" applyFont="1" applyFill="1" applyProtection="1"/>
    <xf numFmtId="0" fontId="10" fillId="7" borderId="28" xfId="0" applyFont="1" applyFill="1" applyBorder="1" applyProtection="1"/>
    <xf numFmtId="0" fontId="11" fillId="0" borderId="0" xfId="0" applyFont="1" applyFill="1" applyBorder="1" applyAlignment="1" applyProtection="1">
      <alignment horizontal="center" vertical="center" wrapText="1"/>
    </xf>
    <xf numFmtId="0" fontId="10" fillId="0" borderId="0" xfId="0" applyFont="1" applyFill="1" applyBorder="1" applyProtection="1"/>
    <xf numFmtId="49" fontId="2" fillId="3" borderId="31" xfId="0" applyNumberFormat="1" applyFont="1" applyFill="1" applyBorder="1" applyAlignment="1" applyProtection="1">
      <alignment horizontal="center" vertical="center"/>
      <protection locked="0"/>
    </xf>
    <xf numFmtId="2" fontId="2" fillId="6" borderId="31" xfId="0" applyNumberFormat="1" applyFont="1" applyFill="1" applyBorder="1" applyAlignment="1" applyProtection="1">
      <alignment horizontal="center" vertical="center"/>
      <protection locked="0"/>
    </xf>
    <xf numFmtId="0" fontId="2" fillId="3" borderId="31" xfId="0"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xf>
    <xf numFmtId="0" fontId="1" fillId="2" borderId="30" xfId="0" applyFont="1" applyFill="1" applyBorder="1" applyAlignment="1" applyProtection="1">
      <alignment vertical="center"/>
    </xf>
    <xf numFmtId="0" fontId="2" fillId="0" borderId="30"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wrapText="1"/>
    </xf>
    <xf numFmtId="2" fontId="2" fillId="0" borderId="22" xfId="0" applyNumberFormat="1" applyFont="1" applyFill="1" applyBorder="1" applyAlignment="1" applyProtection="1">
      <alignment horizontal="center" vertical="center"/>
      <protection locked="0"/>
    </xf>
    <xf numFmtId="0" fontId="2" fillId="0" borderId="22" xfId="0" applyFont="1" applyFill="1" applyBorder="1" applyAlignment="1" applyProtection="1">
      <alignment horizontal="center" vertical="center"/>
      <protection locked="0"/>
    </xf>
    <xf numFmtId="164" fontId="2" fillId="0" borderId="22" xfId="0" applyNumberFormat="1" applyFont="1" applyFill="1" applyBorder="1" applyAlignment="1" applyProtection="1">
      <alignment horizontal="center" vertical="center"/>
    </xf>
    <xf numFmtId="0" fontId="2" fillId="0" borderId="22" xfId="0" applyFont="1" applyFill="1" applyBorder="1" applyAlignment="1" applyProtection="1">
      <alignment horizontal="center" vertical="center"/>
    </xf>
    <xf numFmtId="0" fontId="1" fillId="0" borderId="8" xfId="0" applyFont="1" applyFill="1" applyBorder="1" applyAlignment="1" applyProtection="1">
      <alignment horizontal="center" vertical="center"/>
    </xf>
    <xf numFmtId="0" fontId="1" fillId="2" borderId="34" xfId="0" applyFont="1" applyFill="1" applyBorder="1" applyAlignment="1" applyProtection="1">
      <alignment horizontal="center" vertical="center"/>
    </xf>
    <xf numFmtId="49" fontId="1" fillId="0" borderId="0" xfId="0" applyNumberFormat="1" applyFont="1" applyAlignment="1">
      <alignment horizontal="center"/>
    </xf>
    <xf numFmtId="0" fontId="1" fillId="0" borderId="0" xfId="0" quotePrefix="1" applyFont="1" applyBorder="1" applyAlignment="1">
      <alignment horizontal="center"/>
    </xf>
    <xf numFmtId="49" fontId="1" fillId="0" borderId="0" xfId="0" applyNumberFormat="1" applyFont="1" applyAlignment="1">
      <alignment horizontal="center" wrapText="1"/>
    </xf>
    <xf numFmtId="0" fontId="2" fillId="0" borderId="14" xfId="0" applyNumberFormat="1" applyFont="1" applyFill="1" applyBorder="1" applyAlignment="1" applyProtection="1">
      <alignment horizontal="center" vertical="center" wrapText="1"/>
    </xf>
    <xf numFmtId="164" fontId="4" fillId="0" borderId="0" xfId="0" applyNumberFormat="1" applyFont="1" applyBorder="1" applyAlignment="1">
      <alignment horizontal="center"/>
    </xf>
    <xf numFmtId="0" fontId="4" fillId="2" borderId="0" xfId="0" applyFont="1" applyFill="1" applyBorder="1" applyAlignment="1" applyProtection="1">
      <alignment horizontal="left" vertical="center" wrapText="1"/>
    </xf>
    <xf numFmtId="0" fontId="3" fillId="2" borderId="1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1" fillId="2" borderId="23"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0" fontId="1" fillId="2" borderId="35" xfId="0" applyFont="1" applyFill="1" applyBorder="1" applyAlignment="1" applyProtection="1">
      <alignment horizontal="left" vertical="center" wrapText="1"/>
    </xf>
    <xf numFmtId="0" fontId="1" fillId="2" borderId="25"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1" fillId="2" borderId="36"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1" fillId="2" borderId="37"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3">
    <pageSetUpPr fitToPage="1"/>
  </sheetPr>
  <dimension ref="B1:Y33"/>
  <sheetViews>
    <sheetView showGridLines="0" tabSelected="1" topLeftCell="A9" zoomScaleNormal="100" workbookViewId="0">
      <selection activeCell="K25" sqref="K25"/>
    </sheetView>
  </sheetViews>
  <sheetFormatPr defaultColWidth="9.28515625" defaultRowHeight="12.75"/>
  <cols>
    <col min="1" max="1" width="9.28515625" style="1"/>
    <col min="2" max="2" width="8.28515625" style="7" customWidth="1"/>
    <col min="3" max="3" width="16.7109375" style="3" customWidth="1"/>
    <col min="4" max="4" width="2.7109375" style="1" customWidth="1"/>
    <col min="5" max="5" width="16.7109375" style="1" customWidth="1"/>
    <col min="6" max="6" width="2.7109375" style="1" customWidth="1"/>
    <col min="7" max="7" width="16.7109375" style="1" customWidth="1"/>
    <col min="8" max="8" width="2.7109375" style="1" customWidth="1"/>
    <col min="9" max="9" width="16.7109375" style="1" customWidth="1"/>
    <col min="10" max="10" width="2.7109375" style="1" customWidth="1"/>
    <col min="11" max="11" width="16.7109375" style="1" customWidth="1"/>
    <col min="12" max="12" width="6.7109375" style="1" customWidth="1"/>
    <col min="13" max="13" width="4.28515625" style="1" customWidth="1"/>
    <col min="14" max="14" width="1.7109375" style="1" customWidth="1"/>
    <col min="15" max="15" width="4" style="1" customWidth="1"/>
    <col min="16" max="16" width="3.140625" style="1" customWidth="1"/>
    <col min="17" max="17" width="16.7109375" style="1" customWidth="1"/>
    <col min="18" max="18" width="2.7109375" style="1" customWidth="1"/>
    <col min="19" max="19" width="16.7109375" style="1" customWidth="1"/>
    <col min="20" max="20" width="2.7109375" style="1" customWidth="1"/>
    <col min="21" max="21" width="16.7109375" style="58" customWidth="1"/>
    <col min="22" max="22" width="2.7109375" style="1" customWidth="1"/>
    <col min="23" max="23" width="16.7109375" style="1" customWidth="1"/>
    <col min="24" max="24" width="2.7109375" style="1" customWidth="1"/>
    <col min="25" max="25" width="16.7109375" style="1" customWidth="1"/>
    <col min="26" max="16384" width="9.28515625" style="1"/>
  </cols>
  <sheetData>
    <row r="1" spans="2:25" ht="17.25" customHeight="1">
      <c r="L1" s="61"/>
      <c r="M1" s="61"/>
      <c r="N1" s="61"/>
      <c r="O1" s="61"/>
      <c r="P1" s="61"/>
      <c r="Q1" s="61"/>
      <c r="R1" s="61"/>
      <c r="S1" s="61"/>
      <c r="T1" s="61"/>
      <c r="U1" s="65"/>
      <c r="V1" s="61"/>
      <c r="W1" s="61"/>
    </row>
    <row r="2" spans="2:25" ht="17.25" customHeight="1">
      <c r="B2" s="67"/>
      <c r="C2" s="129" t="s">
        <v>44</v>
      </c>
      <c r="D2" s="130"/>
      <c r="E2" s="130"/>
      <c r="F2" s="130"/>
      <c r="G2" s="130"/>
      <c r="H2" s="130"/>
      <c r="I2" s="131"/>
      <c r="J2" s="61"/>
      <c r="K2" s="61"/>
      <c r="L2" s="61"/>
      <c r="M2" s="61"/>
      <c r="N2" s="61"/>
      <c r="O2" s="61"/>
      <c r="P2" s="61"/>
      <c r="Q2" s="61"/>
      <c r="R2" s="61"/>
      <c r="S2" s="61"/>
      <c r="T2" s="61"/>
      <c r="U2" s="65"/>
      <c r="V2" s="61"/>
      <c r="W2" s="61"/>
    </row>
    <row r="3" spans="2:25" s="9" customFormat="1" ht="17.25" customHeight="1">
      <c r="B3" s="67"/>
      <c r="C3" s="132"/>
      <c r="D3" s="133"/>
      <c r="E3" s="133"/>
      <c r="F3" s="133"/>
      <c r="G3" s="133"/>
      <c r="H3" s="133"/>
      <c r="I3" s="134"/>
      <c r="J3" s="60"/>
      <c r="K3" s="60"/>
      <c r="L3" s="60"/>
      <c r="M3" s="60"/>
      <c r="N3" s="60"/>
      <c r="O3" s="60"/>
      <c r="P3" s="122"/>
      <c r="Q3" s="122"/>
      <c r="R3" s="122"/>
      <c r="S3" s="122"/>
      <c r="T3" s="122"/>
      <c r="U3" s="122"/>
      <c r="V3" s="60"/>
      <c r="W3" s="60"/>
    </row>
    <row r="4" spans="2:25" s="9" customFormat="1" ht="17.25" customHeight="1">
      <c r="B4" s="67"/>
      <c r="C4" s="132"/>
      <c r="D4" s="133"/>
      <c r="E4" s="133"/>
      <c r="F4" s="133"/>
      <c r="G4" s="133"/>
      <c r="H4" s="133"/>
      <c r="I4" s="134"/>
      <c r="J4" s="60"/>
      <c r="L4" s="60"/>
      <c r="M4" s="60"/>
      <c r="N4" s="60"/>
      <c r="O4" s="60"/>
      <c r="P4" s="122"/>
      <c r="Q4" s="122"/>
      <c r="R4" s="122"/>
      <c r="S4" s="122"/>
      <c r="T4" s="122"/>
      <c r="U4" s="122"/>
      <c r="V4" s="60"/>
      <c r="W4" s="60"/>
    </row>
    <row r="5" spans="2:25" s="9" customFormat="1" ht="17.25" customHeight="1">
      <c r="B5" s="67"/>
      <c r="C5" s="132"/>
      <c r="D5" s="133"/>
      <c r="E5" s="133"/>
      <c r="F5" s="133"/>
      <c r="G5" s="133"/>
      <c r="H5" s="133"/>
      <c r="I5" s="134"/>
      <c r="J5" s="60"/>
      <c r="L5" s="60"/>
      <c r="M5" s="60"/>
      <c r="N5" s="60"/>
      <c r="O5" s="60"/>
      <c r="P5" s="122"/>
      <c r="Q5" s="122"/>
      <c r="R5" s="122"/>
      <c r="S5" s="122"/>
      <c r="T5" s="122"/>
      <c r="U5" s="122"/>
      <c r="V5" s="60"/>
      <c r="W5" s="60"/>
    </row>
    <row r="6" spans="2:25" s="9" customFormat="1" ht="17.25" customHeight="1">
      <c r="B6" s="67"/>
      <c r="C6" s="132"/>
      <c r="D6" s="133"/>
      <c r="E6" s="133"/>
      <c r="F6" s="133"/>
      <c r="G6" s="133"/>
      <c r="H6" s="133"/>
      <c r="I6" s="134"/>
      <c r="L6" s="60"/>
      <c r="M6" s="60"/>
      <c r="N6" s="60"/>
      <c r="O6" s="60"/>
      <c r="P6" s="23"/>
      <c r="Q6" s="23"/>
      <c r="R6" s="23"/>
      <c r="S6" s="46"/>
      <c r="T6" s="46"/>
      <c r="U6" s="23"/>
      <c r="V6" s="60"/>
      <c r="W6" s="60"/>
    </row>
    <row r="7" spans="2:25" s="9" customFormat="1" ht="17.25" customHeight="1">
      <c r="B7" s="67"/>
      <c r="C7" s="132"/>
      <c r="D7" s="133"/>
      <c r="E7" s="133"/>
      <c r="F7" s="133"/>
      <c r="G7" s="133"/>
      <c r="H7" s="133"/>
      <c r="I7" s="134"/>
      <c r="J7" s="60"/>
      <c r="K7" s="60"/>
      <c r="L7" s="60"/>
      <c r="M7" s="60"/>
      <c r="N7" s="60"/>
      <c r="O7" s="60"/>
      <c r="P7" s="43"/>
      <c r="Q7" s="43"/>
      <c r="R7" s="43"/>
      <c r="S7" s="43"/>
      <c r="T7" s="72"/>
      <c r="U7" s="73"/>
      <c r="V7" s="74"/>
      <c r="W7" s="60"/>
    </row>
    <row r="8" spans="2:25" s="9" customFormat="1" ht="17.25" customHeight="1">
      <c r="B8" s="67"/>
      <c r="C8" s="132"/>
      <c r="D8" s="133"/>
      <c r="E8" s="133"/>
      <c r="F8" s="133"/>
      <c r="G8" s="133"/>
      <c r="H8" s="133"/>
      <c r="I8" s="134"/>
      <c r="J8" s="60"/>
      <c r="K8" s="60"/>
      <c r="L8" s="60"/>
      <c r="M8" s="60"/>
      <c r="N8" s="60"/>
      <c r="O8" s="60"/>
      <c r="P8" s="43"/>
      <c r="Q8" s="43"/>
      <c r="R8" s="43"/>
      <c r="S8" s="43"/>
      <c r="T8" s="72"/>
      <c r="U8" s="73"/>
      <c r="V8" s="74"/>
      <c r="W8" s="60"/>
    </row>
    <row r="9" spans="2:25" s="9" customFormat="1" ht="17.25" customHeight="1">
      <c r="B9" s="67"/>
      <c r="C9" s="135"/>
      <c r="D9" s="136"/>
      <c r="E9" s="136"/>
      <c r="F9" s="136"/>
      <c r="G9" s="136"/>
      <c r="H9" s="136"/>
      <c r="I9" s="137"/>
      <c r="J9" s="60"/>
      <c r="K9" s="60"/>
      <c r="L9" s="60"/>
      <c r="M9" s="60"/>
      <c r="N9" s="60"/>
      <c r="O9" s="60"/>
      <c r="P9" s="43"/>
      <c r="Q9" s="43"/>
      <c r="R9" s="43"/>
      <c r="S9" s="43"/>
      <c r="T9" s="72"/>
      <c r="U9" s="73"/>
      <c r="V9" s="74"/>
      <c r="W9" s="60"/>
    </row>
    <row r="10" spans="2:25" s="9" customFormat="1" ht="17.25" customHeight="1">
      <c r="B10" s="67"/>
      <c r="C10" s="66"/>
      <c r="D10" s="66"/>
      <c r="E10" s="66"/>
      <c r="F10" s="66"/>
      <c r="G10" s="66"/>
      <c r="H10" s="66"/>
      <c r="I10" s="66"/>
      <c r="J10" s="60"/>
      <c r="K10" s="60"/>
      <c r="L10" s="60"/>
      <c r="M10" s="60"/>
      <c r="N10" s="60"/>
      <c r="O10" s="60"/>
      <c r="P10" s="43"/>
      <c r="Q10" s="43"/>
      <c r="R10" s="43"/>
      <c r="S10" s="43"/>
      <c r="T10" s="72"/>
      <c r="U10" s="73"/>
      <c r="V10" s="74"/>
      <c r="W10" s="60"/>
    </row>
    <row r="11" spans="2:25" s="99" customFormat="1" ht="17.25" customHeight="1">
      <c r="B11" s="95"/>
      <c r="C11" s="96" t="s">
        <v>32</v>
      </c>
      <c r="D11" s="97"/>
      <c r="E11" s="97"/>
      <c r="F11" s="97"/>
      <c r="G11" s="97"/>
      <c r="H11" s="98"/>
      <c r="I11" s="98"/>
      <c r="J11" s="98"/>
      <c r="K11" s="98"/>
      <c r="N11" s="100"/>
      <c r="P11" s="98"/>
      <c r="Q11" s="96" t="s">
        <v>37</v>
      </c>
      <c r="R11" s="101"/>
      <c r="S11" s="101"/>
      <c r="T11" s="101"/>
      <c r="U11" s="101"/>
      <c r="V11" s="102"/>
      <c r="W11" s="98"/>
    </row>
    <row r="12" spans="2:25" s="9" customFormat="1" ht="17.25" customHeight="1" thickBot="1">
      <c r="B12" s="67"/>
      <c r="C12" s="10"/>
      <c r="D12" s="8"/>
      <c r="E12" s="8"/>
      <c r="F12" s="8"/>
      <c r="G12" s="8"/>
      <c r="H12" s="8"/>
      <c r="I12" s="17"/>
      <c r="J12" s="17"/>
      <c r="K12" s="17"/>
      <c r="N12" s="86"/>
      <c r="P12" s="17"/>
      <c r="Q12" s="44"/>
      <c r="R12" s="45"/>
      <c r="S12" s="44"/>
      <c r="T12" s="45"/>
      <c r="U12" s="44"/>
      <c r="V12" s="74"/>
      <c r="W12" s="60"/>
    </row>
    <row r="13" spans="2:25" s="9" customFormat="1" ht="31.5" customHeight="1">
      <c r="B13" s="67"/>
      <c r="C13" s="22" t="s">
        <v>20</v>
      </c>
      <c r="D13" s="8"/>
      <c r="E13" s="120" t="str">
        <f>VLOOKUP(C14,Sheet1!A:C,2,FALSE)</f>
        <v>7794 Ipro
Installed</v>
      </c>
      <c r="F13" s="8"/>
      <c r="G13" s="21" t="str">
        <f>IF(OR(C14=7007,C14=7707,C14=7177),"Ethernet Cable Installed","")</f>
        <v/>
      </c>
      <c r="H13" s="17"/>
      <c r="I13" s="21" t="str">
        <f>IF(C14="7788F","7762 Installed","")</f>
        <v>7762 Installed</v>
      </c>
      <c r="J13" s="17"/>
      <c r="K13" s="21" t="s">
        <v>18</v>
      </c>
      <c r="N13" s="86"/>
      <c r="Q13" s="19" t="s">
        <v>6</v>
      </c>
      <c r="R13" s="11"/>
      <c r="S13" s="11" t="s">
        <v>22</v>
      </c>
      <c r="T13" s="11"/>
      <c r="U13" s="11" t="s">
        <v>13</v>
      </c>
      <c r="V13" s="85"/>
      <c r="W13" s="11" t="s">
        <v>36</v>
      </c>
      <c r="X13" s="11"/>
      <c r="Y13" s="13" t="s">
        <v>34</v>
      </c>
    </row>
    <row r="14" spans="2:25" s="16" customFormat="1" ht="18" customHeight="1" thickBot="1">
      <c r="B14" s="68"/>
      <c r="C14" s="103" t="s">
        <v>2</v>
      </c>
      <c r="D14" s="116"/>
      <c r="E14" s="104" t="s">
        <v>43</v>
      </c>
      <c r="F14" s="116"/>
      <c r="G14" s="104" t="s">
        <v>43</v>
      </c>
      <c r="H14" s="116"/>
      <c r="I14" s="104" t="s">
        <v>19</v>
      </c>
      <c r="J14" s="116"/>
      <c r="K14" s="105">
        <v>24</v>
      </c>
      <c r="N14" s="87"/>
      <c r="Q14" s="54">
        <f>VLOOKUP(C14,Sheet1!A:S,9,FALSE)</f>
        <v>0.186</v>
      </c>
      <c r="R14" s="25" t="s">
        <v>1</v>
      </c>
      <c r="S14" s="26">
        <f>IF((E14="Yes"),VLOOKUP(C14,Sheet1!A:R,11,FALSE),0)</f>
        <v>0</v>
      </c>
      <c r="T14" s="25" t="s">
        <v>1</v>
      </c>
      <c r="U14" s="26">
        <f>IF((G14="Yes"),VLOOKUP(C14,Sheet1!A:R,12,FALSE),0)</f>
        <v>0</v>
      </c>
      <c r="V14" s="25" t="s">
        <v>1</v>
      </c>
      <c r="W14" s="26">
        <f>IF((I14="Yes"),VLOOKUP(C14,Sheet1!A:S,13,FALSE),0)</f>
        <v>1.4999999999999999E-2</v>
      </c>
      <c r="X14" s="25" t="s">
        <v>0</v>
      </c>
      <c r="Y14" s="76">
        <f>Q14+S14+U14+W14</f>
        <v>0.20100000000000001</v>
      </c>
    </row>
    <row r="15" spans="2:25" s="16" customFormat="1" ht="18" customHeight="1" thickBot="1">
      <c r="B15" s="68"/>
      <c r="C15" s="83"/>
      <c r="D15" s="115"/>
      <c r="E15" s="111"/>
      <c r="F15" s="115"/>
      <c r="G15" s="111"/>
      <c r="H15" s="115"/>
      <c r="I15" s="111"/>
      <c r="J15" s="115"/>
      <c r="K15" s="112"/>
      <c r="N15" s="87"/>
      <c r="Q15" s="113"/>
      <c r="R15" s="114"/>
      <c r="S15" s="113"/>
      <c r="T15" s="114"/>
      <c r="U15" s="113"/>
      <c r="V15" s="114"/>
      <c r="W15" s="113"/>
      <c r="X15" s="114"/>
      <c r="Y15" s="113"/>
    </row>
    <row r="16" spans="2:25" s="16" customFormat="1" ht="37.5" customHeight="1">
      <c r="B16" s="69"/>
      <c r="C16" s="106" t="s">
        <v>6</v>
      </c>
      <c r="D16" s="43"/>
      <c r="E16" s="107" t="s">
        <v>22</v>
      </c>
      <c r="F16" s="43"/>
      <c r="G16" s="107" t="s">
        <v>13</v>
      </c>
      <c r="H16" s="108"/>
      <c r="I16" s="109" t="s">
        <v>36</v>
      </c>
      <c r="J16" s="43"/>
      <c r="K16" s="110" t="s">
        <v>7</v>
      </c>
      <c r="N16" s="87"/>
      <c r="Q16" s="19" t="s">
        <v>29</v>
      </c>
      <c r="R16" s="11"/>
      <c r="S16" s="11" t="s">
        <v>22</v>
      </c>
      <c r="T16" s="11"/>
      <c r="U16" s="11" t="s">
        <v>13</v>
      </c>
      <c r="V16" s="85"/>
      <c r="W16" s="11" t="s">
        <v>36</v>
      </c>
      <c r="X16" s="11"/>
      <c r="Y16" s="13" t="s">
        <v>30</v>
      </c>
    </row>
    <row r="17" spans="2:25" s="6" customFormat="1" ht="18" customHeight="1" thickBot="1">
      <c r="B17" s="69"/>
      <c r="C17" s="54">
        <f>VLOOKUP(C14,Sheet1!A:C,3,FALSE)</f>
        <v>0.14899999999999999</v>
      </c>
      <c r="D17" s="25" t="s">
        <v>1</v>
      </c>
      <c r="E17" s="26">
        <f>IF((E14="Yes"),VLOOKUP(C14,Sheet1!A:F,5,FALSE),0)</f>
        <v>0</v>
      </c>
      <c r="F17" s="25" t="s">
        <v>1</v>
      </c>
      <c r="G17" s="26">
        <f>IF((G14="Yes"),VLOOKUP(C14,Sheet1!A:G,6,FALSE),0)</f>
        <v>0</v>
      </c>
      <c r="H17" s="25" t="s">
        <v>1</v>
      </c>
      <c r="I17" s="26">
        <f>IF(AND((I14="Yes")*(E14="Yes")),VLOOKUP(C14,Sheet1!A:G,7,FALSE),0)</f>
        <v>0</v>
      </c>
      <c r="J17" s="25" t="s">
        <v>0</v>
      </c>
      <c r="K17" s="76">
        <f>C17+E17+G17</f>
        <v>0.14899999999999999</v>
      </c>
      <c r="N17" s="88"/>
      <c r="Q17" s="54">
        <f>VLOOKUP(C14,Sheet1!A:R,10,FALSE)</f>
        <v>0.91400000000000003</v>
      </c>
      <c r="R17" s="25" t="s">
        <v>1</v>
      </c>
      <c r="S17" s="26">
        <f>S14</f>
        <v>0</v>
      </c>
      <c r="T17" s="25" t="s">
        <v>1</v>
      </c>
      <c r="U17" s="26">
        <f>U14</f>
        <v>0</v>
      </c>
      <c r="V17" s="25" t="s">
        <v>1</v>
      </c>
      <c r="W17" s="26">
        <f>W14</f>
        <v>1.4999999999999999E-2</v>
      </c>
      <c r="X17" s="25" t="s">
        <v>0</v>
      </c>
      <c r="Y17" s="76">
        <f>Q17+S17+U17+W17</f>
        <v>0.92900000000000005</v>
      </c>
    </row>
    <row r="18" spans="2:25" ht="14.25" customHeight="1" thickBot="1">
      <c r="B18" s="70"/>
      <c r="C18" s="39"/>
      <c r="D18" s="39"/>
      <c r="E18" s="39"/>
      <c r="F18" s="39"/>
      <c r="G18" s="39"/>
      <c r="H18" s="39"/>
      <c r="I18" s="39"/>
      <c r="J18" s="39"/>
      <c r="K18" s="39"/>
      <c r="N18" s="89"/>
      <c r="U18" s="1"/>
      <c r="V18" s="75"/>
      <c r="W18" s="61"/>
    </row>
    <row r="19" spans="2:25" ht="47.25" customHeight="1">
      <c r="B19" s="70"/>
      <c r="C19" s="19" t="s">
        <v>18</v>
      </c>
      <c r="D19" s="48"/>
      <c r="E19" s="11" t="s">
        <v>6</v>
      </c>
      <c r="F19" s="48"/>
      <c r="G19" s="13" t="s">
        <v>11</v>
      </c>
      <c r="H19" s="39"/>
      <c r="I19" s="61"/>
      <c r="J19" s="61"/>
      <c r="K19" s="61"/>
      <c r="N19" s="89"/>
      <c r="Q19" s="19" t="s">
        <v>6</v>
      </c>
      <c r="R19" s="11"/>
      <c r="S19" s="11" t="s">
        <v>22</v>
      </c>
      <c r="T19" s="11"/>
      <c r="U19" s="11" t="s">
        <v>13</v>
      </c>
      <c r="V19" s="85"/>
      <c r="W19" s="11" t="s">
        <v>36</v>
      </c>
      <c r="X19" s="11"/>
      <c r="Y19" s="13" t="s">
        <v>35</v>
      </c>
    </row>
    <row r="20" spans="2:25" ht="18" customHeight="1" thickBot="1">
      <c r="B20" s="70"/>
      <c r="C20" s="84">
        <f>K14</f>
        <v>24</v>
      </c>
      <c r="D20" s="25" t="s">
        <v>10</v>
      </c>
      <c r="E20" s="26">
        <f>K17</f>
        <v>0.14899999999999999</v>
      </c>
      <c r="F20" s="25" t="s">
        <v>0</v>
      </c>
      <c r="G20" s="55">
        <f>K14*E20</f>
        <v>3.5759999999999996</v>
      </c>
      <c r="H20" s="39"/>
      <c r="I20" s="61"/>
      <c r="J20" s="61"/>
      <c r="K20" s="61"/>
      <c r="N20" s="89"/>
      <c r="Q20" s="54">
        <f>VLOOKUP(C14,Sheet1!A:R,15,FALSE)</f>
        <v>0.32</v>
      </c>
      <c r="R20" s="25" t="s">
        <v>1</v>
      </c>
      <c r="S20" s="26">
        <f>IF((E14="Yes"),VLOOKUP(C14,Sheet1!A:R,17,FALSE),0)</f>
        <v>0</v>
      </c>
      <c r="T20" s="25" t="s">
        <v>1</v>
      </c>
      <c r="U20" s="26">
        <f>IF((G14="Yes"),VLOOKUP(C14,Sheet1!A:R,18,FALSE),0)</f>
        <v>0</v>
      </c>
      <c r="V20" s="25" t="s">
        <v>1</v>
      </c>
      <c r="W20" s="26">
        <f>IF((I14="Yes"),VLOOKUP(C14,Sheet1!A:S,19,FALSE),0)</f>
        <v>1.4999999999999999E-2</v>
      </c>
      <c r="X20" s="25" t="s">
        <v>0</v>
      </c>
      <c r="Y20" s="76">
        <f>Q20+S20+U20+W20</f>
        <v>0.33500000000000002</v>
      </c>
    </row>
    <row r="21" spans="2:25" ht="14.25" customHeight="1" thickBot="1">
      <c r="B21" s="70"/>
      <c r="C21" s="44"/>
      <c r="D21" s="39"/>
      <c r="E21" s="39"/>
      <c r="F21" s="39"/>
      <c r="G21" s="39"/>
      <c r="H21" s="39"/>
      <c r="I21" s="39"/>
      <c r="J21" s="39"/>
      <c r="K21" s="39"/>
      <c r="N21" s="89"/>
      <c r="Q21" s="39"/>
      <c r="R21" s="39"/>
      <c r="S21" s="39"/>
      <c r="T21" s="39"/>
      <c r="U21" s="39"/>
      <c r="V21" s="61"/>
      <c r="W21" s="61"/>
      <c r="X21" s="39"/>
      <c r="Y21" s="39"/>
    </row>
    <row r="22" spans="2:25" s="6" customFormat="1" ht="40.5" customHeight="1">
      <c r="B22" s="69"/>
      <c r="C22" s="50" t="s">
        <v>24</v>
      </c>
      <c r="D22" s="51"/>
      <c r="E22" s="12" t="s">
        <v>21</v>
      </c>
      <c r="F22" s="48"/>
      <c r="G22" s="20" t="s">
        <v>9</v>
      </c>
      <c r="H22" s="42"/>
      <c r="I22" s="47"/>
      <c r="J22" s="47"/>
      <c r="K22" s="47"/>
      <c r="N22" s="88"/>
      <c r="Q22" s="19" t="s">
        <v>29</v>
      </c>
      <c r="R22" s="11"/>
      <c r="S22" s="11" t="s">
        <v>22</v>
      </c>
      <c r="T22" s="11"/>
      <c r="U22" s="11" t="s">
        <v>13</v>
      </c>
      <c r="V22" s="85"/>
      <c r="W22" s="11" t="s">
        <v>36</v>
      </c>
      <c r="X22" s="11"/>
      <c r="Y22" s="13" t="s">
        <v>31</v>
      </c>
    </row>
    <row r="23" spans="2:25" s="6" customFormat="1" ht="18" customHeight="1" thickBot="1">
      <c r="B23" s="69"/>
      <c r="C23" s="52">
        <f>VLOOKUP(C14,Sheet1!A:D,4,FALSE)</f>
        <v>0.72799999999999998</v>
      </c>
      <c r="D23" s="53" t="s">
        <v>10</v>
      </c>
      <c r="E23" s="41">
        <v>0.25</v>
      </c>
      <c r="F23" s="25" t="s">
        <v>0</v>
      </c>
      <c r="G23" s="55">
        <f>C23*E23</f>
        <v>0.182</v>
      </c>
      <c r="H23" s="49"/>
      <c r="I23" s="47"/>
      <c r="J23" s="47"/>
      <c r="K23" s="47"/>
      <c r="N23" s="88"/>
      <c r="Q23" s="54">
        <f>VLOOKUP(C14,Sheet1!A:R,16,FALSE)</f>
        <v>1.367</v>
      </c>
      <c r="R23" s="25" t="s">
        <v>1</v>
      </c>
      <c r="S23" s="26">
        <f>S20</f>
        <v>0</v>
      </c>
      <c r="T23" s="25" t="s">
        <v>1</v>
      </c>
      <c r="U23" s="26">
        <f>U20</f>
        <v>0</v>
      </c>
      <c r="V23" s="25" t="s">
        <v>1</v>
      </c>
      <c r="W23" s="26">
        <f>W20</f>
        <v>1.4999999999999999E-2</v>
      </c>
      <c r="X23" s="25" t="s">
        <v>0</v>
      </c>
      <c r="Y23" s="76">
        <f>Q23+S23+U23+W23</f>
        <v>1.3819999999999999</v>
      </c>
    </row>
    <row r="24" spans="2:25" ht="13.5" thickBot="1">
      <c r="B24" s="70"/>
      <c r="C24" s="39"/>
      <c r="D24" s="39"/>
      <c r="E24" s="39"/>
      <c r="F24" s="39"/>
      <c r="G24" s="39"/>
      <c r="H24" s="39"/>
      <c r="I24" s="39"/>
      <c r="J24" s="39"/>
      <c r="K24" s="39"/>
      <c r="L24" s="39"/>
      <c r="M24" s="39"/>
      <c r="N24" s="90"/>
      <c r="O24" s="39"/>
      <c r="P24" s="39"/>
      <c r="Q24" s="39"/>
      <c r="R24" s="39"/>
      <c r="S24" s="2"/>
    </row>
    <row r="25" spans="2:25" s="6" customFormat="1" ht="53.25" customHeight="1">
      <c r="B25" s="69"/>
      <c r="C25" s="24" t="s">
        <v>11</v>
      </c>
      <c r="D25" s="15"/>
      <c r="E25" s="14" t="s">
        <v>16</v>
      </c>
      <c r="F25" s="15"/>
      <c r="G25" s="13" t="s">
        <v>12</v>
      </c>
      <c r="H25" s="62"/>
      <c r="I25" s="62"/>
      <c r="J25" s="62"/>
      <c r="K25" s="62"/>
      <c r="L25" s="18"/>
      <c r="M25" s="18"/>
      <c r="N25" s="91"/>
      <c r="O25" s="18"/>
      <c r="P25" s="18"/>
      <c r="Q25" s="18"/>
      <c r="R25" s="4"/>
      <c r="S25" s="5"/>
      <c r="U25" s="40"/>
    </row>
    <row r="26" spans="2:25" s="6" customFormat="1" ht="18" customHeight="1" thickBot="1">
      <c r="B26" s="69"/>
      <c r="C26" s="56">
        <f>G20</f>
        <v>3.5759999999999996</v>
      </c>
      <c r="D26" s="25" t="s">
        <v>1</v>
      </c>
      <c r="E26" s="57">
        <f>G23</f>
        <v>0.182</v>
      </c>
      <c r="F26" s="25" t="s">
        <v>0</v>
      </c>
      <c r="G26" s="55">
        <f>C26+E26</f>
        <v>3.7579999999999996</v>
      </c>
      <c r="H26" s="59"/>
      <c r="I26" s="59"/>
      <c r="J26" s="59"/>
      <c r="K26" s="59"/>
      <c r="L26" s="38"/>
      <c r="M26" s="38"/>
      <c r="N26" s="92"/>
      <c r="O26" s="38"/>
      <c r="P26" s="38"/>
      <c r="Q26" s="38"/>
      <c r="R26" s="4"/>
      <c r="S26" s="5"/>
      <c r="U26" s="40"/>
    </row>
    <row r="27" spans="2:25" ht="17.100000000000001" customHeight="1" thickBot="1">
      <c r="B27" s="70"/>
      <c r="C27" s="63"/>
      <c r="D27" s="39"/>
      <c r="E27" s="39"/>
      <c r="F27" s="39"/>
      <c r="G27" s="39"/>
      <c r="H27" s="39"/>
      <c r="I27" s="62"/>
      <c r="J27" s="62"/>
      <c r="K27" s="62"/>
      <c r="L27" s="18"/>
      <c r="M27" s="18"/>
      <c r="N27" s="91"/>
      <c r="O27" s="18"/>
      <c r="P27" s="18"/>
      <c r="Q27" s="18"/>
      <c r="R27" s="18"/>
      <c r="S27" s="2"/>
    </row>
    <row r="28" spans="2:25" s="6" customFormat="1" ht="54" customHeight="1">
      <c r="B28" s="71"/>
      <c r="C28" s="19" t="s">
        <v>12</v>
      </c>
      <c r="D28" s="15"/>
      <c r="E28" s="11" t="s">
        <v>15</v>
      </c>
      <c r="F28" s="15"/>
      <c r="G28" s="13" t="s">
        <v>14</v>
      </c>
      <c r="H28" s="47"/>
      <c r="I28" s="123" t="s">
        <v>28</v>
      </c>
      <c r="J28" s="124"/>
      <c r="K28" s="124"/>
      <c r="L28" s="125"/>
      <c r="M28" s="77"/>
      <c r="N28" s="93"/>
      <c r="O28" s="77"/>
      <c r="P28" s="59"/>
      <c r="Q28" s="59"/>
      <c r="R28" s="5"/>
      <c r="S28" s="5"/>
      <c r="U28" s="40"/>
    </row>
    <row r="29" spans="2:25" s="6" customFormat="1" ht="18" customHeight="1" thickBot="1">
      <c r="B29" s="68"/>
      <c r="C29" s="56">
        <f>G26</f>
        <v>3.7579999999999996</v>
      </c>
      <c r="D29" s="25" t="s">
        <v>10</v>
      </c>
      <c r="E29" s="27">
        <v>1.2</v>
      </c>
      <c r="F29" s="25" t="s">
        <v>0</v>
      </c>
      <c r="G29" s="28">
        <f>C29*E29</f>
        <v>4.5095999999999989</v>
      </c>
      <c r="H29" s="59"/>
      <c r="I29" s="126"/>
      <c r="J29" s="127"/>
      <c r="K29" s="127"/>
      <c r="L29" s="128"/>
      <c r="M29" s="77"/>
      <c r="N29" s="94"/>
      <c r="O29" s="77"/>
      <c r="P29" s="38"/>
      <c r="Q29" s="38"/>
      <c r="U29" s="40"/>
    </row>
    <row r="30" spans="2:25">
      <c r="B30" s="67"/>
      <c r="C30" s="64"/>
      <c r="D30" s="61"/>
      <c r="E30" s="61"/>
      <c r="F30" s="61"/>
      <c r="G30" s="61"/>
      <c r="H30" s="61"/>
      <c r="I30" s="61"/>
      <c r="J30" s="61"/>
      <c r="K30" s="61"/>
    </row>
    <row r="31" spans="2:25" ht="15" customHeight="1">
      <c r="B31" s="67"/>
      <c r="C31" s="1" t="s">
        <v>45</v>
      </c>
      <c r="H31" s="61"/>
      <c r="I31" s="61"/>
      <c r="J31" s="61"/>
      <c r="K31" s="61"/>
    </row>
    <row r="32" spans="2:25">
      <c r="B32" s="67"/>
      <c r="C32" s="64"/>
      <c r="D32" s="61"/>
      <c r="E32" s="61"/>
      <c r="F32" s="61"/>
      <c r="G32" s="61"/>
      <c r="H32" s="61"/>
      <c r="I32" s="61"/>
      <c r="J32" s="61"/>
      <c r="K32" s="61"/>
    </row>
    <row r="33" spans="2:11">
      <c r="B33" s="67"/>
      <c r="C33" s="64"/>
      <c r="D33" s="61"/>
      <c r="E33" s="61"/>
      <c r="F33" s="61"/>
      <c r="G33" s="61"/>
      <c r="H33" s="61"/>
      <c r="I33" s="61"/>
      <c r="J33" s="61"/>
      <c r="K33" s="61"/>
    </row>
  </sheetData>
  <mergeCells count="3">
    <mergeCell ref="P3:U5"/>
    <mergeCell ref="I28:L29"/>
    <mergeCell ref="C2:I9"/>
  </mergeCells>
  <dataValidations count="1">
    <dataValidation type="list" allowBlank="1" showInputMessage="1" showErrorMessage="1" sqref="G14 I14 E14">
      <formula1>"No, Yes"</formula1>
    </dataValidation>
  </dataValidations>
  <pageMargins left="0.7" right="0.7" top="0.75" bottom="0.75" header="0.3" footer="0.3"/>
  <pageSetup scale="86" orientation="landscape" r:id="rId1"/>
  <legacyDrawing r:id="rId2"/>
  <extLst xmlns:x14="http://schemas.microsoft.com/office/spreadsheetml/2009/9/main">
    <ext uri="{CCE6A557-97BC-4b89-ADB6-D9C93CAAB3DF}">
      <x14:dataValidations xmlns:xm="http://schemas.microsoft.com/office/excel/2006/main" count="1">
        <x14:dataValidation type="list" allowBlank="1" showInputMessage="1" showErrorMessage="1" errorTitle="Select Subscriber model" error="Subscriber model must be selected.">
          <x14:formula1>
            <xm:f>Sheet1!$A$4:$A$8</xm:f>
          </x14:formula1>
          <xm:sqref>C14</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4"/>
  <dimension ref="A1:S33"/>
  <sheetViews>
    <sheetView workbookViewId="0">
      <selection activeCell="S5" sqref="S5"/>
    </sheetView>
  </sheetViews>
  <sheetFormatPr defaultRowHeight="12.75"/>
  <cols>
    <col min="1" max="1" width="15.7109375" style="31" bestFit="1" customWidth="1"/>
    <col min="2" max="2" width="13.140625" style="31" customWidth="1"/>
    <col min="3" max="3" width="10.140625" style="30" customWidth="1"/>
    <col min="4" max="7" width="9.140625" style="30"/>
    <col min="9" max="9" width="9.85546875" customWidth="1"/>
    <col min="11" max="12" width="9.140625" style="35"/>
  </cols>
  <sheetData>
    <row r="1" spans="1:19" s="31" customFormat="1" ht="18" customHeight="1">
      <c r="A1" s="81"/>
      <c r="B1" s="81"/>
      <c r="C1" s="29" t="s">
        <v>25</v>
      </c>
      <c r="D1" s="81"/>
      <c r="E1" s="81"/>
      <c r="F1" s="81"/>
      <c r="G1" s="81"/>
      <c r="I1" s="31" t="s">
        <v>26</v>
      </c>
      <c r="O1" s="80" t="s">
        <v>27</v>
      </c>
      <c r="P1" s="80"/>
      <c r="Q1" s="80"/>
      <c r="R1" s="80"/>
    </row>
    <row r="2" spans="1:19" s="29" customFormat="1">
      <c r="A2" s="81" t="s">
        <v>5</v>
      </c>
      <c r="B2" s="81" t="s">
        <v>38</v>
      </c>
      <c r="C2" s="81" t="s">
        <v>33</v>
      </c>
      <c r="D2" s="81" t="s">
        <v>4</v>
      </c>
      <c r="E2" s="81" t="s">
        <v>23</v>
      </c>
      <c r="F2" s="81" t="s">
        <v>17</v>
      </c>
      <c r="G2" s="81">
        <v>7762</v>
      </c>
      <c r="I2" s="31" t="s">
        <v>33</v>
      </c>
      <c r="J2" s="78" t="s">
        <v>4</v>
      </c>
      <c r="K2" s="31" t="s">
        <v>23</v>
      </c>
      <c r="L2" s="31" t="s">
        <v>17</v>
      </c>
      <c r="M2" s="81">
        <v>7762</v>
      </c>
      <c r="N2" s="81"/>
      <c r="O2" s="31" t="s">
        <v>33</v>
      </c>
      <c r="P2" s="78" t="s">
        <v>4</v>
      </c>
      <c r="Q2" s="31" t="s">
        <v>23</v>
      </c>
      <c r="R2" s="31" t="s">
        <v>17</v>
      </c>
      <c r="S2" s="81">
        <v>7762</v>
      </c>
    </row>
    <row r="3" spans="1:19">
      <c r="A3" s="118" t="s">
        <v>8</v>
      </c>
      <c r="B3" s="118"/>
      <c r="C3" s="82">
        <v>0</v>
      </c>
      <c r="D3" s="82">
        <v>0</v>
      </c>
      <c r="E3" s="82">
        <v>0</v>
      </c>
      <c r="F3" s="82">
        <v>0</v>
      </c>
      <c r="G3" s="82">
        <v>0</v>
      </c>
      <c r="M3" s="82"/>
      <c r="N3" s="82"/>
      <c r="S3" s="82"/>
    </row>
    <row r="4" spans="1:19" ht="25.5">
      <c r="A4" s="117">
        <v>7007</v>
      </c>
      <c r="B4" s="119" t="s">
        <v>39</v>
      </c>
      <c r="C4" s="32">
        <v>0.16600000000000001</v>
      </c>
      <c r="D4" s="32">
        <v>0.79</v>
      </c>
      <c r="E4" s="32">
        <v>0.14499999999999999</v>
      </c>
      <c r="F4" s="32">
        <v>1.4999999999999999E-2</v>
      </c>
      <c r="G4" s="82">
        <v>0</v>
      </c>
      <c r="I4" s="79">
        <v>0.21</v>
      </c>
      <c r="J4" s="79">
        <v>0.88600000000000001</v>
      </c>
      <c r="K4" s="79">
        <v>0.14499999999999999</v>
      </c>
      <c r="L4" s="79">
        <v>1.4999999999999999E-2</v>
      </c>
      <c r="M4" s="82">
        <v>0</v>
      </c>
      <c r="N4" s="82"/>
      <c r="O4" s="79">
        <v>0.316</v>
      </c>
      <c r="P4" s="79">
        <v>1.4590000000000001</v>
      </c>
      <c r="Q4" s="79">
        <v>0.22</v>
      </c>
      <c r="R4" s="79">
        <v>2.1999999999999999E-2</v>
      </c>
      <c r="S4" s="82">
        <v>0</v>
      </c>
    </row>
    <row r="5" spans="1:19" ht="25.5">
      <c r="A5" s="117">
        <v>7707</v>
      </c>
      <c r="B5" s="119" t="s">
        <v>40</v>
      </c>
      <c r="C5" s="32">
        <v>0.17499999999999999</v>
      </c>
      <c r="D5" s="32">
        <v>0.752</v>
      </c>
      <c r="E5" s="32">
        <v>0.16500000000000001</v>
      </c>
      <c r="F5" s="32">
        <v>1.4999999999999999E-2</v>
      </c>
      <c r="G5" s="82">
        <v>0</v>
      </c>
      <c r="I5" s="79">
        <v>0.21</v>
      </c>
      <c r="J5" s="79">
        <v>0.89900000000000002</v>
      </c>
      <c r="K5" s="79">
        <v>0.16</v>
      </c>
      <c r="L5" s="79">
        <v>1.4999999999999999E-2</v>
      </c>
      <c r="M5" s="82">
        <v>0</v>
      </c>
      <c r="N5" s="82"/>
      <c r="O5" s="79">
        <v>0.35</v>
      </c>
      <c r="P5" s="79">
        <v>1.42</v>
      </c>
      <c r="Q5" s="79">
        <v>0.26500000000000001</v>
      </c>
      <c r="R5" s="79">
        <v>2.4E-2</v>
      </c>
      <c r="S5" s="82">
        <v>0</v>
      </c>
    </row>
    <row r="6" spans="1:19" ht="25.5">
      <c r="A6" s="117">
        <v>7177</v>
      </c>
      <c r="B6" s="119" t="s">
        <v>40</v>
      </c>
      <c r="C6" s="32">
        <v>0.17599999999999999</v>
      </c>
      <c r="D6" s="32">
        <v>0.88600000000000001</v>
      </c>
      <c r="E6" s="32">
        <v>0.16</v>
      </c>
      <c r="F6" s="32">
        <v>1.4999999999999999E-2</v>
      </c>
      <c r="G6" s="82">
        <v>0</v>
      </c>
      <c r="I6" s="79">
        <v>0.20499999999999999</v>
      </c>
      <c r="J6" s="79">
        <v>1.0169999999999999</v>
      </c>
      <c r="K6" s="79">
        <v>0.16</v>
      </c>
      <c r="L6" s="79">
        <v>1.4999999999999999E-2</v>
      </c>
      <c r="M6" s="82">
        <v>0</v>
      </c>
      <c r="N6" s="82"/>
      <c r="O6" s="79">
        <v>0.36</v>
      </c>
      <c r="P6" s="79">
        <v>1.6</v>
      </c>
      <c r="Q6" s="79">
        <v>0.24299999999999999</v>
      </c>
      <c r="R6" s="79">
        <v>2.1999999999999999E-2</v>
      </c>
      <c r="S6" s="82">
        <v>0</v>
      </c>
    </row>
    <row r="7" spans="1:19" ht="25.5">
      <c r="A7" s="117" t="s">
        <v>3</v>
      </c>
      <c r="B7" s="119" t="s">
        <v>41</v>
      </c>
      <c r="C7" s="32">
        <v>0.13600000000000001</v>
      </c>
      <c r="D7" s="32">
        <v>0.75</v>
      </c>
      <c r="E7" s="32">
        <v>0.14499999999999999</v>
      </c>
      <c r="F7" s="33">
        <v>0</v>
      </c>
      <c r="G7" s="82">
        <v>0</v>
      </c>
      <c r="I7" s="79">
        <v>0.153</v>
      </c>
      <c r="J7" s="79">
        <v>0.82199999999999995</v>
      </c>
      <c r="K7" s="79">
        <v>0.14799999999999999</v>
      </c>
      <c r="L7" s="79">
        <v>0</v>
      </c>
      <c r="M7" s="82">
        <v>0</v>
      </c>
      <c r="N7" s="82"/>
      <c r="O7" s="79">
        <v>0.29499999999999998</v>
      </c>
      <c r="P7" s="79">
        <v>1.1779999999999999</v>
      </c>
      <c r="Q7" s="79">
        <v>0.22</v>
      </c>
      <c r="R7" s="79">
        <v>0</v>
      </c>
      <c r="S7" s="82">
        <v>0</v>
      </c>
    </row>
    <row r="8" spans="1:19" ht="25.5">
      <c r="A8" s="117" t="s">
        <v>2</v>
      </c>
      <c r="B8" s="119" t="s">
        <v>42</v>
      </c>
      <c r="C8" s="32">
        <v>0.14899999999999999</v>
      </c>
      <c r="D8" s="33">
        <v>0.72799999999999998</v>
      </c>
      <c r="E8" s="32">
        <v>0.16</v>
      </c>
      <c r="F8" s="32">
        <v>0</v>
      </c>
      <c r="G8" s="121">
        <v>1.4999999999999999E-2</v>
      </c>
      <c r="I8" s="79">
        <v>0.186</v>
      </c>
      <c r="J8" s="79">
        <v>0.91400000000000003</v>
      </c>
      <c r="K8" s="79">
        <v>0.16700000000000001</v>
      </c>
      <c r="L8" s="79">
        <v>0</v>
      </c>
      <c r="M8" s="82">
        <v>1.4999999999999999E-2</v>
      </c>
      <c r="N8" s="82"/>
      <c r="O8" s="79">
        <v>0.32</v>
      </c>
      <c r="P8" s="79">
        <v>1.367</v>
      </c>
      <c r="Q8" s="79">
        <v>0.24399999999999999</v>
      </c>
      <c r="R8" s="79">
        <v>0</v>
      </c>
      <c r="S8" s="82">
        <v>1.4999999999999999E-2</v>
      </c>
    </row>
    <row r="9" spans="1:19">
      <c r="C9" s="32"/>
      <c r="D9" s="33"/>
      <c r="E9" s="32"/>
    </row>
    <row r="10" spans="1:19">
      <c r="A10" s="31">
        <v>1</v>
      </c>
      <c r="B10" s="31">
        <v>2</v>
      </c>
      <c r="C10" s="31">
        <v>3</v>
      </c>
      <c r="D10" s="31">
        <v>4</v>
      </c>
      <c r="E10" s="31">
        <v>5</v>
      </c>
      <c r="F10" s="31">
        <v>6</v>
      </c>
      <c r="G10" s="31">
        <v>7</v>
      </c>
      <c r="H10" s="31">
        <v>8</v>
      </c>
      <c r="I10" s="31">
        <v>9</v>
      </c>
      <c r="J10" s="31">
        <v>10</v>
      </c>
      <c r="K10" s="31">
        <v>11</v>
      </c>
      <c r="L10" s="31">
        <v>12</v>
      </c>
      <c r="M10" s="31">
        <v>13</v>
      </c>
      <c r="N10" s="31">
        <v>14</v>
      </c>
      <c r="O10" s="31">
        <v>15</v>
      </c>
      <c r="P10" s="31">
        <v>16</v>
      </c>
      <c r="Q10" s="31">
        <v>17</v>
      </c>
      <c r="R10" s="31">
        <v>18</v>
      </c>
      <c r="S10" s="31">
        <v>19</v>
      </c>
    </row>
    <row r="11" spans="1:19">
      <c r="C11" s="32"/>
      <c r="D11" s="32"/>
      <c r="E11" s="32"/>
    </row>
    <row r="12" spans="1:19">
      <c r="C12" s="32"/>
      <c r="D12" s="32"/>
      <c r="E12" s="32"/>
    </row>
    <row r="13" spans="1:19">
      <c r="C13" s="32"/>
      <c r="D13" s="32"/>
      <c r="E13" s="32"/>
    </row>
    <row r="14" spans="1:19">
      <c r="C14" s="32"/>
      <c r="D14" s="32"/>
      <c r="E14" s="32"/>
    </row>
    <row r="15" spans="1:19">
      <c r="C15" s="32"/>
      <c r="D15" s="32"/>
      <c r="E15" s="32"/>
    </row>
    <row r="19" spans="3:5">
      <c r="C19" s="36"/>
      <c r="D19"/>
    </row>
    <row r="20" spans="3:5">
      <c r="C20" s="37"/>
      <c r="D20" s="37"/>
    </row>
    <row r="21" spans="3:5">
      <c r="C21" s="32"/>
      <c r="D21" s="32"/>
    </row>
    <row r="22" spans="3:5">
      <c r="C22" s="32"/>
      <c r="D22" s="32"/>
      <c r="E22" s="34"/>
    </row>
    <row r="23" spans="3:5">
      <c r="C23" s="32"/>
      <c r="D23" s="32"/>
    </row>
    <row r="24" spans="3:5">
      <c r="C24" s="32"/>
      <c r="D24" s="32"/>
    </row>
    <row r="25" spans="3:5">
      <c r="C25" s="32"/>
      <c r="D25" s="32"/>
    </row>
    <row r="26" spans="3:5">
      <c r="C26" s="32"/>
      <c r="D26" s="32"/>
    </row>
    <row r="27" spans="3:5">
      <c r="C27" s="32"/>
      <c r="D27" s="32"/>
    </row>
    <row r="28" spans="3:5">
      <c r="C28" s="32"/>
      <c r="D28" s="32"/>
    </row>
    <row r="29" spans="3:5">
      <c r="C29" s="32"/>
      <c r="D29" s="32"/>
    </row>
    <row r="30" spans="3:5">
      <c r="C30" s="32"/>
      <c r="D30" s="32"/>
    </row>
    <row r="31" spans="3:5">
      <c r="C31" s="32"/>
      <c r="D31" s="32"/>
    </row>
    <row r="32" spans="3:5">
      <c r="C32" s="32"/>
      <c r="D32" s="32"/>
    </row>
    <row r="33" spans="3:4">
      <c r="C33" s="32"/>
      <c r="D33" s="32"/>
    </row>
  </sheetData>
  <sortState ref="A3:C10">
    <sortCondition ref="A3:A10"/>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Battery Calculations</vt:lpstr>
      <vt:lpstr>Sheet1</vt:lpstr>
      <vt:lpstr>'Battery Calculations'!Print_Area</vt:lpstr>
    </vt:vector>
  </TitlesOfParts>
  <Company>Protec,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B. Baker</dc:creator>
  <cp:lastModifiedBy>Todd - Sheryl</cp:lastModifiedBy>
  <cp:lastPrinted>2022-03-24T14:29:07Z</cp:lastPrinted>
  <dcterms:created xsi:type="dcterms:W3CDTF">1999-04-16T19:55:47Z</dcterms:created>
  <dcterms:modified xsi:type="dcterms:W3CDTF">2023-02-10T14:15:46Z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f97e9c72-3d7f-4062-bff8-dad98bbc1384</vt:lpwstr>
  </property>
</Properties>
</file>